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1"/>
  </bookViews>
  <sheets>
    <sheet name="Sheet1" sheetId="1" r:id="rId1"/>
    <sheet name="Sheet2" sheetId="2" r:id="rId2"/>
    <sheet name="Sheet3" sheetId="3" r:id="rId3"/>
  </sheets>
  <definedNames>
    <definedName name="Pass1CPUs">'Sheet1'!$B$10</definedName>
  </definedNames>
  <calcPr fullCalcOnLoad="1"/>
</workbook>
</file>

<file path=xl/sharedStrings.xml><?xml version="1.0" encoding="utf-8"?>
<sst xmlns="http://schemas.openxmlformats.org/spreadsheetml/2006/main" count="195" uniqueCount="159">
  <si>
    <t>GlueX Computing Model</t>
  </si>
  <si>
    <t>parameter</t>
  </si>
  <si>
    <t>value</t>
  </si>
  <si>
    <t>units</t>
  </si>
  <si>
    <t>comments</t>
  </si>
  <si>
    <t>event rate</t>
  </si>
  <si>
    <t>events/s</t>
  </si>
  <si>
    <t>raw data rate out of the counting room when beam is on</t>
  </si>
  <si>
    <t>annual running</t>
  </si>
  <si>
    <t>weeks</t>
  </si>
  <si>
    <t>amount of running in a year</t>
  </si>
  <si>
    <t>running efficiency</t>
  </si>
  <si>
    <t>fraction of wall time when beam is on, either due to beam unavailable or detector not ready</t>
  </si>
  <si>
    <t>effective event rate (per second)</t>
  </si>
  <si>
    <t>Event rate averaged over time</t>
  </si>
  <si>
    <t>effective event rate (per year)</t>
  </si>
  <si>
    <t>events/year</t>
  </si>
  <si>
    <t>CPU time per event</t>
  </si>
  <si>
    <t>CPU-s/event</t>
  </si>
  <si>
    <t>Time to reconstruct a single event on a 2.8 GHz Nehalem machine, per thread, from Simon's email of 1/31/2011</t>
  </si>
  <si>
    <t>single Pass 1 CPU needed</t>
  </si>
  <si>
    <t>CPU's</t>
  </si>
  <si>
    <t>number of threads to keep up with the raw event rate</t>
  </si>
  <si>
    <t>raw event size</t>
  </si>
  <si>
    <t>bytes</t>
  </si>
  <si>
    <t>size of a single raw event</t>
  </si>
  <si>
    <t>raw instantaneous storage rate</t>
  </si>
  <si>
    <t>MB/s</t>
  </si>
  <si>
    <t>data rate when beam is on</t>
  </si>
  <si>
    <t>raw effective storage rate</t>
  </si>
  <si>
    <t>bytes/year</t>
  </si>
  <si>
    <t>average data volume rate</t>
  </si>
  <si>
    <t>TB/year</t>
  </si>
  <si>
    <t>pass 0 event fraction</t>
  </si>
  <si>
    <t>fraction of events from raw data stream to perform calibrations</t>
  </si>
  <si>
    <t>pass 1 repetition factor</t>
  </si>
  <si>
    <t>number of times event reconstruction will be repeated</t>
  </si>
  <si>
    <t>pass 0 repetition factor</t>
  </si>
  <si>
    <t>number of times calibration will be repeated</t>
  </si>
  <si>
    <t>pass 0 CPU need</t>
  </si>
  <si>
    <t>number of threads of calibration to keep up</t>
  </si>
  <si>
    <t>pass 1 CPU need</t>
  </si>
  <si>
    <t>number of threads of reconstruction to keep up</t>
  </si>
  <si>
    <t>stream/pass-1 CPU ratio</t>
  </si>
  <si>
    <t>ratio of CPU time required for a skim stream to that needed for reconstruction</t>
  </si>
  <si>
    <t>stream output to input size ratio</t>
  </si>
  <si>
    <t>ratio of data volume output for a stream to that of input</t>
  </si>
  <si>
    <t>stream multiplicity factor</t>
  </si>
  <si>
    <t>number of streams to be produced</t>
  </si>
  <si>
    <t>single stream CPU need</t>
  </si>
  <si>
    <t>number of threads for one stream to keep up</t>
  </si>
  <si>
    <t>stream repetition factor</t>
  </si>
  <si>
    <t>number of times streaming will be repeated</t>
  </si>
  <si>
    <t>stream CPU need</t>
  </si>
  <si>
    <t>number of threads for streaming to keep up</t>
  </si>
  <si>
    <t>single stream output data rate</t>
  </si>
  <si>
    <t>total stream output data rate</t>
  </si>
  <si>
    <t>PB/year</t>
  </si>
  <si>
    <t>MC CPU time per event, generation</t>
  </si>
  <si>
    <t>MC CPU time per event, reconstruction</t>
  </si>
  <si>
    <t>MC CPU ratio per event, generation</t>
  </si>
  <si>
    <t>ratio of CPU time required for generating a Monte Carlo event to that needed for reconstruction</t>
  </si>
  <si>
    <t>MC CPU ratio per event, reconstruction</t>
  </si>
  <si>
    <t>ratio of CPU time to reconstruct Monte Carlo events to that to reconstruct real data</t>
  </si>
  <si>
    <t>MC/raw data event rate ratio</t>
  </si>
  <si>
    <t>ratio of number of Monte Carlo events needed to number of raw data events</t>
  </si>
  <si>
    <t>MC event size</t>
  </si>
  <si>
    <t>size of a single generated Monte Carlo event</t>
  </si>
  <si>
    <t>MC multiplicity factor</t>
  </si>
  <si>
    <t>number of times MC data will need to be generated</t>
  </si>
  <si>
    <t>MC effective event rate</t>
  </si>
  <si>
    <t>event rate averaged over time of MC event generation</t>
  </si>
  <si>
    <t>MC CPU need</t>
  </si>
  <si>
    <t>numbers of threads needed for generating Monte Carlo</t>
  </si>
  <si>
    <t>MC pass 1 output event size</t>
  </si>
  <si>
    <t>size of a single reconstructed Monte Carlo event</t>
  </si>
  <si>
    <t>MC effective data rate</t>
  </si>
  <si>
    <t>analysis/pass-1 CPU ratio</t>
  </si>
  <si>
    <t>ratio of CPU time required for performing a physics analysis to that needed for reconstruction</t>
  </si>
  <si>
    <t>analysis multiplicity factor</t>
  </si>
  <si>
    <t>number of analyses to be conducted</t>
  </si>
  <si>
    <t>analysis CPU need</t>
  </si>
  <si>
    <t>number of threads needed for analysis</t>
  </si>
  <si>
    <t>total CPU need</t>
  </si>
  <si>
    <t>total number  of threads needed for all activities</t>
  </si>
  <si>
    <t>total CPU need exclusive of MC</t>
  </si>
  <si>
    <t>total number of threads needed for all activities</t>
  </si>
  <si>
    <t>data rate, tape to cache disk</t>
  </si>
  <si>
    <t>average rate from tape library to cache disk</t>
  </si>
  <si>
    <t>data rate, cache disk to local disk</t>
  </si>
  <si>
    <t>average rate from cache disk to local farm node disk</t>
  </si>
  <si>
    <t>raw data recording tape need</t>
  </si>
  <si>
    <t>Pass 1 output to input size ratio</t>
  </si>
  <si>
    <t>ratio of output event size to input event size</t>
  </si>
  <si>
    <t>pass1 processed event size</t>
  </si>
  <si>
    <t>reconstructed event size</t>
  </si>
  <si>
    <t>Single pass 1 output data rate</t>
  </si>
  <si>
    <t>data rate for a single pass 1 output stream</t>
  </si>
  <si>
    <t>total pass 1 output data rate</t>
  </si>
  <si>
    <t>data rate for all pass 1 output streams</t>
  </si>
  <si>
    <t>Single pass 0 output data rate</t>
  </si>
  <si>
    <t>total pass 0 output data rate</t>
  </si>
  <si>
    <t>data rate for all pass 0 output streams</t>
  </si>
  <si>
    <t>single pass 1 tape need</t>
  </si>
  <si>
    <t>drives</t>
  </si>
  <si>
    <t>number of tape drives needed to support pass 1, one iteration</t>
  </si>
  <si>
    <t>Pass 1 tape need</t>
  </si>
  <si>
    <t>number of tape drives needed to support pass 1, all iterations</t>
  </si>
  <si>
    <t>single pass 0 tape need</t>
  </si>
  <si>
    <t>number of tape drives needed to support pass 0, one iteration</t>
  </si>
  <si>
    <t>Pass 0 tape need</t>
  </si>
  <si>
    <t>number of tape drives needed to support pass 0, all iterations</t>
  </si>
  <si>
    <t>single stream input tape need</t>
  </si>
  <si>
    <t>number of tape drives needed to support input for streaming, one iteration</t>
  </si>
  <si>
    <t>single set of stream output tape need (all streams)</t>
  </si>
  <si>
    <t>number of tape drives needed to support output for streaming, one iteration</t>
  </si>
  <si>
    <t>total stream tape need</t>
  </si>
  <si>
    <t>number of tape drives needed to support streaming, all iterations</t>
  </si>
  <si>
    <t>MC tape drive need</t>
  </si>
  <si>
    <t>number of tape drives needed to archive reconstructed MC data</t>
  </si>
  <si>
    <t>total tape drive need</t>
  </si>
  <si>
    <t>total number of tape drives needed for all activities</t>
  </si>
  <si>
    <t>disk usage per analysis</t>
  </si>
  <si>
    <t>TB</t>
  </si>
  <si>
    <t>permanent disk space used by an analysis</t>
  </si>
  <si>
    <t>disk usage total</t>
  </si>
  <si>
    <t>permanent disk space used by all analyses</t>
  </si>
  <si>
    <t>total output rate</t>
  </si>
  <si>
    <t>Phase I</t>
  </si>
  <si>
    <t>Phase II</t>
  </si>
  <si>
    <t>Phase III</t>
  </si>
  <si>
    <t>Phase IV</t>
  </si>
  <si>
    <t>PAC days</t>
  </si>
  <si>
    <t>Days of running</t>
  </si>
  <si>
    <t>Days of Running per PAC Day</t>
  </si>
  <si>
    <t>Running efficiency</t>
  </si>
  <si>
    <t>Seconds per day</t>
  </si>
  <si>
    <t>Running time (s)</t>
  </si>
  <si>
    <t>Days per year</t>
  </si>
  <si>
    <t>Trigger rate (Hz)</t>
  </si>
  <si>
    <t>Number of cores</t>
  </si>
  <si>
    <t>Number of events</t>
  </si>
  <si>
    <t>Ratio of Monte Carlo events to data events</t>
  </si>
  <si>
    <t>event size (bytes)</t>
  </si>
  <si>
    <t>Reconstruction time per event per core (s)</t>
  </si>
  <si>
    <t>ratio of size of DST to Raw</t>
  </si>
  <si>
    <t>Reconstruction time, single core (y)</t>
  </si>
  <si>
    <t>number of calibration iterations</t>
  </si>
  <si>
    <t>Reconstruction time (d)</t>
  </si>
  <si>
    <t>fraction of raw data to calibrate</t>
  </si>
  <si>
    <t>Monte Carlo generation time per event per core</t>
  </si>
  <si>
    <t>Monte Carlo reconstruction time per event per core</t>
  </si>
  <si>
    <t>Monte Carlo time, gen. + recon. (d)</t>
  </si>
  <si>
    <t>Reconstruction time + MC time (d)</t>
  </si>
  <si>
    <t>Calibration time</t>
  </si>
  <si>
    <t>raw data volume (bytes)</t>
  </si>
  <si>
    <t>raw data volume (PB)</t>
  </si>
  <si>
    <t>DST data volume, real data, recon. (PB)</t>
  </si>
  <si>
    <t>total data to tape (PB)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</si>
</sst>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##0.0E+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3">
      <selection activeCell="B65" sqref="B65"/>
    </sheetView>
  </sheetViews>
  <sheetFormatPr defaultColWidth="12.57421875" defaultRowHeight="12.75"/>
  <cols>
    <col min="1" max="1" width="33.421875" style="0" customWidth="1"/>
    <col min="3" max="3" width="11.8515625" style="0" customWidth="1"/>
    <col min="4" max="16384" width="11.57421875" style="0" customWidth="1"/>
  </cols>
  <sheetData>
    <row r="1" ht="12" customHeight="1">
      <c r="A1" s="1" t="s">
        <v>0</v>
      </c>
    </row>
    <row r="2" ht="12" customHeight="1">
      <c r="E2" s="2">
        <f>365.25*24*60*60</f>
        <v>31557600</v>
      </c>
    </row>
    <row r="3" spans="1:4" s="1" customFormat="1" ht="12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2" customHeight="1">
      <c r="A4" s="3" t="s">
        <v>5</v>
      </c>
      <c r="B4" s="4">
        <v>20000</v>
      </c>
      <c r="C4" t="s">
        <v>6</v>
      </c>
      <c r="D4" t="s">
        <v>7</v>
      </c>
    </row>
    <row r="5" spans="1:4" ht="12" customHeight="1">
      <c r="A5" t="s">
        <v>8</v>
      </c>
      <c r="B5" s="4">
        <v>35</v>
      </c>
      <c r="C5" t="s">
        <v>9</v>
      </c>
      <c r="D5" t="s">
        <v>10</v>
      </c>
    </row>
    <row r="6" spans="1:4" ht="12" customHeight="1">
      <c r="A6" t="s">
        <v>11</v>
      </c>
      <c r="B6" s="4">
        <v>0.5</v>
      </c>
      <c r="D6" t="s">
        <v>12</v>
      </c>
    </row>
    <row r="7" spans="1:4" ht="12" customHeight="1">
      <c r="A7" t="s">
        <v>13</v>
      </c>
      <c r="B7" s="2">
        <f>B4*B5/(365.25/7)*B6</f>
        <v>6707.734428473648</v>
      </c>
      <c r="C7" t="s">
        <v>6</v>
      </c>
      <c r="D7" t="s">
        <v>14</v>
      </c>
    </row>
    <row r="8" spans="1:4" ht="12" customHeight="1">
      <c r="A8" t="s">
        <v>15</v>
      </c>
      <c r="B8" s="5">
        <f>B7*365*24*60*60</f>
        <v>211535112936.34497</v>
      </c>
      <c r="C8" t="s">
        <v>16</v>
      </c>
      <c r="D8" t="s">
        <v>14</v>
      </c>
    </row>
    <row r="9" spans="1:4" ht="12" customHeight="1">
      <c r="A9" t="s">
        <v>17</v>
      </c>
      <c r="B9" s="4">
        <f>1/7.5</f>
        <v>0.13333333333333333</v>
      </c>
      <c r="C9" t="s">
        <v>18</v>
      </c>
      <c r="D9" t="s">
        <v>19</v>
      </c>
    </row>
    <row r="10" spans="1:4" ht="12" customHeight="1">
      <c r="A10" t="s">
        <v>20</v>
      </c>
      <c r="B10" s="2">
        <f>B7*B9</f>
        <v>894.364590463153</v>
      </c>
      <c r="C10" t="s">
        <v>21</v>
      </c>
      <c r="D10" t="s">
        <v>22</v>
      </c>
    </row>
    <row r="11" spans="1:4" ht="12" customHeight="1">
      <c r="A11" t="s">
        <v>23</v>
      </c>
      <c r="B11" s="4">
        <v>15000</v>
      </c>
      <c r="C11" t="s">
        <v>24</v>
      </c>
      <c r="D11" t="s">
        <v>25</v>
      </c>
    </row>
    <row r="12" spans="1:4" ht="12" customHeight="1">
      <c r="A12" t="s">
        <v>26</v>
      </c>
      <c r="B12" s="6">
        <f>B4*B11/1000000</f>
        <v>300</v>
      </c>
      <c r="C12" t="s">
        <v>27</v>
      </c>
      <c r="D12" t="s">
        <v>28</v>
      </c>
    </row>
    <row r="13" spans="1:4" ht="12" customHeight="1">
      <c r="A13" t="s">
        <v>29</v>
      </c>
      <c r="B13" s="7">
        <f>B8*B11</f>
        <v>3173026694045174.5</v>
      </c>
      <c r="C13" t="s">
        <v>30</v>
      </c>
      <c r="D13" t="s">
        <v>31</v>
      </c>
    </row>
    <row r="14" spans="1:4" ht="12.75">
      <c r="A14" t="s">
        <v>29</v>
      </c>
      <c r="B14" s="2">
        <f>B13/1000000000000</f>
        <v>3173.0266940451743</v>
      </c>
      <c r="C14" t="s">
        <v>32</v>
      </c>
      <c r="D14" t="s">
        <v>31</v>
      </c>
    </row>
    <row r="15" spans="1:4" ht="12.75">
      <c r="A15" t="s">
        <v>33</v>
      </c>
      <c r="B15" s="4">
        <v>0.05</v>
      </c>
      <c r="D15" t="s">
        <v>34</v>
      </c>
    </row>
    <row r="16" spans="1:4" ht="12.75">
      <c r="A16" t="s">
        <v>35</v>
      </c>
      <c r="B16" s="4">
        <v>2</v>
      </c>
      <c r="D16" t="s">
        <v>36</v>
      </c>
    </row>
    <row r="17" spans="1:4" ht="12.75">
      <c r="A17" t="s">
        <v>37</v>
      </c>
      <c r="B17" s="4">
        <v>2</v>
      </c>
      <c r="D17" t="s">
        <v>38</v>
      </c>
    </row>
    <row r="18" spans="1:4" ht="12.75">
      <c r="A18" t="s">
        <v>39</v>
      </c>
      <c r="B18" s="2">
        <f>B15*B17*B10</f>
        <v>89.4364590463153</v>
      </c>
      <c r="C18" t="s">
        <v>21</v>
      </c>
      <c r="D18" t="s">
        <v>40</v>
      </c>
    </row>
    <row r="19" spans="1:5" ht="12.75">
      <c r="A19" t="s">
        <v>41</v>
      </c>
      <c r="B19" s="2">
        <f>B16*B10</f>
        <v>1788.729180926306</v>
      </c>
      <c r="C19" t="s">
        <v>21</v>
      </c>
      <c r="D19" t="s">
        <v>42</v>
      </c>
      <c r="E19" s="8"/>
    </row>
    <row r="20" spans="1:4" ht="12.75">
      <c r="A20" t="s">
        <v>43</v>
      </c>
      <c r="B20" s="4">
        <v>0.1</v>
      </c>
      <c r="D20" t="s">
        <v>44</v>
      </c>
    </row>
    <row r="21" spans="1:4" ht="12.75">
      <c r="A21" t="s">
        <v>45</v>
      </c>
      <c r="B21" s="4">
        <v>0.1</v>
      </c>
      <c r="D21" t="s">
        <v>46</v>
      </c>
    </row>
    <row r="22" spans="1:4" ht="12.75">
      <c r="A22" t="s">
        <v>47</v>
      </c>
      <c r="B22" s="4">
        <v>5</v>
      </c>
      <c r="D22" t="s">
        <v>48</v>
      </c>
    </row>
    <row r="23" spans="1:4" ht="12.75">
      <c r="A23" t="s">
        <v>49</v>
      </c>
      <c r="B23" s="2">
        <f>B20*B10</f>
        <v>89.4364590463153</v>
      </c>
      <c r="C23" t="s">
        <v>21</v>
      </c>
      <c r="D23" t="s">
        <v>50</v>
      </c>
    </row>
    <row r="24" spans="1:4" ht="12.75">
      <c r="A24" t="s">
        <v>51</v>
      </c>
      <c r="B24" s="9">
        <v>2</v>
      </c>
      <c r="D24" t="s">
        <v>52</v>
      </c>
    </row>
    <row r="25" spans="1:4" ht="12.75">
      <c r="A25" t="s">
        <v>53</v>
      </c>
      <c r="B25" s="2">
        <f>B22*B23*B24</f>
        <v>894.364590463153</v>
      </c>
      <c r="C25" t="s">
        <v>21</v>
      </c>
      <c r="D25" t="s">
        <v>54</v>
      </c>
    </row>
    <row r="26" spans="1:3" ht="12.75">
      <c r="A26" t="s">
        <v>55</v>
      </c>
      <c r="B26" s="2">
        <f>B50*B21</f>
        <v>2.0123203285420943</v>
      </c>
      <c r="C26" t="s">
        <v>27</v>
      </c>
    </row>
    <row r="27" spans="1:3" ht="12.75">
      <c r="A27" t="s">
        <v>56</v>
      </c>
      <c r="B27" s="2">
        <f>B26*B22*B24*E2/1000000000</f>
        <v>0.6350399999999998</v>
      </c>
      <c r="C27" t="s">
        <v>57</v>
      </c>
    </row>
    <row r="28" spans="1:2" ht="13.5">
      <c r="A28" t="s">
        <v>58</v>
      </c>
      <c r="B28" s="9">
        <f>1/7.5/2</f>
        <v>0.06666666666666667</v>
      </c>
    </row>
    <row r="29" spans="1:2" ht="13.5">
      <c r="A29" t="s">
        <v>59</v>
      </c>
      <c r="B29" s="4">
        <f>1/7.5</f>
        <v>0.13333333333333333</v>
      </c>
    </row>
    <row r="30" spans="1:4" ht="13.5">
      <c r="A30" t="s">
        <v>60</v>
      </c>
      <c r="B30" s="6">
        <f>B28/B9</f>
        <v>0.5</v>
      </c>
      <c r="C30" t="s">
        <v>18</v>
      </c>
      <c r="D30" t="s">
        <v>61</v>
      </c>
    </row>
    <row r="31" spans="1:4" ht="13.5">
      <c r="A31" t="s">
        <v>62</v>
      </c>
      <c r="B31" s="6">
        <f>B29/B9</f>
        <v>1</v>
      </c>
      <c r="D31" t="s">
        <v>63</v>
      </c>
    </row>
    <row r="32" spans="1:4" ht="12.75">
      <c r="A32" t="s">
        <v>64</v>
      </c>
      <c r="B32" s="4">
        <v>2</v>
      </c>
      <c r="D32" t="s">
        <v>65</v>
      </c>
    </row>
    <row r="33" spans="1:4" ht="12.75">
      <c r="A33" t="s">
        <v>66</v>
      </c>
      <c r="B33" s="2">
        <f>B11</f>
        <v>15000</v>
      </c>
      <c r="C33" t="s">
        <v>24</v>
      </c>
      <c r="D33" t="s">
        <v>67</v>
      </c>
    </row>
    <row r="34" spans="1:4" ht="12.75">
      <c r="A34" t="s">
        <v>68</v>
      </c>
      <c r="B34" s="9">
        <v>2</v>
      </c>
      <c r="D34" t="s">
        <v>69</v>
      </c>
    </row>
    <row r="35" spans="1:4" ht="12.75">
      <c r="A35" t="s">
        <v>70</v>
      </c>
      <c r="B35" s="10">
        <f>B7*B32*B34</f>
        <v>26830.937713894593</v>
      </c>
      <c r="C35" t="s">
        <v>6</v>
      </c>
      <c r="D35" t="s">
        <v>71</v>
      </c>
    </row>
    <row r="36" spans="1:4" ht="12.75">
      <c r="A36" t="s">
        <v>72</v>
      </c>
      <c r="B36" s="2">
        <f>B32*Pass1CPUs*(B30+B31)*B34</f>
        <v>5366.187542778918</v>
      </c>
      <c r="C36" t="s">
        <v>21</v>
      </c>
      <c r="D36" t="s">
        <v>73</v>
      </c>
    </row>
    <row r="37" spans="1:4" ht="12.75">
      <c r="A37" t="s">
        <v>74</v>
      </c>
      <c r="B37" s="2">
        <f>B33*B48</f>
        <v>3000</v>
      </c>
      <c r="C37" t="s">
        <v>24</v>
      </c>
      <c r="D37" t="s">
        <v>75</v>
      </c>
    </row>
    <row r="38" spans="1:3" ht="12.75">
      <c r="A38" t="s">
        <v>76</v>
      </c>
      <c r="B38" s="2">
        <f>B35*B37/1000000</f>
        <v>80.49281314168377</v>
      </c>
      <c r="C38" t="s">
        <v>27</v>
      </c>
    </row>
    <row r="39" spans="1:3" ht="12.75">
      <c r="A39" t="s">
        <v>76</v>
      </c>
      <c r="B39" s="2">
        <f>B38*E2/1000000000</f>
        <v>2.5401599999999993</v>
      </c>
      <c r="C39" t="s">
        <v>57</v>
      </c>
    </row>
    <row r="40" spans="1:4" ht="12.75">
      <c r="A40" t="s">
        <v>77</v>
      </c>
      <c r="B40" s="4">
        <v>0.1</v>
      </c>
      <c r="D40" t="s">
        <v>78</v>
      </c>
    </row>
    <row r="41" spans="1:4" ht="12.75">
      <c r="A41" t="s">
        <v>79</v>
      </c>
      <c r="B41" s="4">
        <v>10</v>
      </c>
      <c r="D41" t="s">
        <v>80</v>
      </c>
    </row>
    <row r="42" spans="1:4" ht="12.75">
      <c r="A42" t="s">
        <v>81</v>
      </c>
      <c r="B42" s="2">
        <f>B40*B10*B41</f>
        <v>894.364590463153</v>
      </c>
      <c r="C42" t="s">
        <v>21</v>
      </c>
      <c r="D42" t="s">
        <v>82</v>
      </c>
    </row>
    <row r="43" spans="1:4" ht="12.75">
      <c r="A43" t="s">
        <v>83</v>
      </c>
      <c r="B43" s="2">
        <f>B18+B19+B25+B36+B42</f>
        <v>9033.082363677846</v>
      </c>
      <c r="C43" t="s">
        <v>21</v>
      </c>
      <c r="D43" t="s">
        <v>84</v>
      </c>
    </row>
    <row r="44" spans="1:4" ht="12.75">
      <c r="A44" t="s">
        <v>85</v>
      </c>
      <c r="B44" s="2">
        <f>B43-B36</f>
        <v>3666.8948208989277</v>
      </c>
      <c r="C44" t="s">
        <v>21</v>
      </c>
      <c r="D44" t="s">
        <v>86</v>
      </c>
    </row>
    <row r="45" spans="1:4" ht="12.75">
      <c r="A45" t="s">
        <v>87</v>
      </c>
      <c r="B45" s="4">
        <v>100</v>
      </c>
      <c r="C45" t="s">
        <v>27</v>
      </c>
      <c r="D45" t="s">
        <v>88</v>
      </c>
    </row>
    <row r="46" spans="1:4" ht="12.75">
      <c r="A46" t="s">
        <v>89</v>
      </c>
      <c r="B46" s="4">
        <v>3</v>
      </c>
      <c r="C46" t="s">
        <v>27</v>
      </c>
      <c r="D46" t="s">
        <v>90</v>
      </c>
    </row>
    <row r="47" spans="1:2" ht="12.75">
      <c r="A47" t="s">
        <v>91</v>
      </c>
      <c r="B47" s="6">
        <f>B7*B11/B45/1000000</f>
        <v>1.0061601642710472</v>
      </c>
    </row>
    <row r="48" spans="1:4" ht="12.75">
      <c r="A48" t="s">
        <v>92</v>
      </c>
      <c r="B48" s="4">
        <v>0.2</v>
      </c>
      <c r="D48" t="s">
        <v>93</v>
      </c>
    </row>
    <row r="49" spans="1:4" ht="12.75">
      <c r="A49" t="s">
        <v>94</v>
      </c>
      <c r="B49" s="2">
        <f>B48*B11</f>
        <v>3000</v>
      </c>
      <c r="C49" t="s">
        <v>24</v>
      </c>
      <c r="D49" t="s">
        <v>95</v>
      </c>
    </row>
    <row r="50" spans="1:4" ht="12.75">
      <c r="A50" t="s">
        <v>96</v>
      </c>
      <c r="B50" s="2">
        <f>B7*B49/1000000</f>
        <v>20.123203285420942</v>
      </c>
      <c r="C50" t="s">
        <v>27</v>
      </c>
      <c r="D50" t="s">
        <v>97</v>
      </c>
    </row>
    <row r="51" spans="1:4" ht="12.75">
      <c r="A51" t="s">
        <v>98</v>
      </c>
      <c r="B51" s="2">
        <f>B16*B50*365.25*24*60*60/1000000000</f>
        <v>1.2700799999999997</v>
      </c>
      <c r="C51" t="s">
        <v>57</v>
      </c>
      <c r="D51" t="s">
        <v>99</v>
      </c>
    </row>
    <row r="52" spans="1:4" ht="12.75">
      <c r="A52" t="s">
        <v>100</v>
      </c>
      <c r="B52" s="2">
        <f>B15*B7*B49/1000000</f>
        <v>1.0061601642710474</v>
      </c>
      <c r="C52" t="s">
        <v>27</v>
      </c>
      <c r="D52" t="s">
        <v>97</v>
      </c>
    </row>
    <row r="53" spans="1:4" ht="12.75">
      <c r="A53" t="s">
        <v>101</v>
      </c>
      <c r="B53" s="2">
        <f>B17*B52*365.25*24*60*60/1000000000</f>
        <v>0.06350400000000002</v>
      </c>
      <c r="C53" t="s">
        <v>57</v>
      </c>
      <c r="D53" t="s">
        <v>102</v>
      </c>
    </row>
    <row r="54" spans="1:4" ht="12.75">
      <c r="A54" t="s">
        <v>103</v>
      </c>
      <c r="B54" s="2">
        <f>B7*(B49+B11)/(B45*1000000)</f>
        <v>1.2073921971252566</v>
      </c>
      <c r="C54" t="s">
        <v>104</v>
      </c>
      <c r="D54" t="s">
        <v>105</v>
      </c>
    </row>
    <row r="55" spans="1:4" ht="12.75">
      <c r="A55" t="s">
        <v>106</v>
      </c>
      <c r="B55" s="2">
        <f>B16*B54</f>
        <v>2.414784394250513</v>
      </c>
      <c r="C55" t="s">
        <v>104</v>
      </c>
      <c r="D55" t="s">
        <v>107</v>
      </c>
    </row>
    <row r="56" spans="1:4" ht="12.75">
      <c r="A56" t="s">
        <v>108</v>
      </c>
      <c r="B56" s="2">
        <f>B15*B54</f>
        <v>0.06036960985626283</v>
      </c>
      <c r="C56" t="s">
        <v>104</v>
      </c>
      <c r="D56" t="s">
        <v>109</v>
      </c>
    </row>
    <row r="57" spans="1:4" ht="12.75">
      <c r="A57" t="s">
        <v>110</v>
      </c>
      <c r="B57" s="2">
        <f>B17*B56</f>
        <v>0.12073921971252566</v>
      </c>
      <c r="C57" t="s">
        <v>104</v>
      </c>
      <c r="D57" t="s">
        <v>111</v>
      </c>
    </row>
    <row r="58" spans="1:4" ht="12.75">
      <c r="A58" t="s">
        <v>112</v>
      </c>
      <c r="B58" s="2">
        <f>B7*B49/(10*1000000)</f>
        <v>2.0123203285420943</v>
      </c>
      <c r="C58" t="s">
        <v>104</v>
      </c>
      <c r="D58" t="s">
        <v>113</v>
      </c>
    </row>
    <row r="59" spans="1:4" ht="12.75">
      <c r="A59" t="s">
        <v>114</v>
      </c>
      <c r="B59" s="2">
        <f>B22*B58*B20</f>
        <v>1.0061601642710472</v>
      </c>
      <c r="C59" t="s">
        <v>104</v>
      </c>
      <c r="D59" t="s">
        <v>115</v>
      </c>
    </row>
    <row r="60" spans="1:4" ht="12.75">
      <c r="A60" t="s">
        <v>116</v>
      </c>
      <c r="B60" s="2">
        <f>(B58+B59)*B24</f>
        <v>6.036960985626283</v>
      </c>
      <c r="C60" t="s">
        <v>104</v>
      </c>
      <c r="D60" t="s">
        <v>117</v>
      </c>
    </row>
    <row r="61" spans="1:4" ht="12.75">
      <c r="A61" t="s">
        <v>118</v>
      </c>
      <c r="B61" s="2">
        <f>B38/B45</f>
        <v>0.8049281314168377</v>
      </c>
      <c r="C61" t="s">
        <v>104</v>
      </c>
      <c r="D61" t="s">
        <v>119</v>
      </c>
    </row>
    <row r="62" spans="1:4" ht="12.75">
      <c r="A62" t="s">
        <v>120</v>
      </c>
      <c r="B62" s="2">
        <f>B47+B55+B57+B60+B61</f>
        <v>10.383572895277208</v>
      </c>
      <c r="D62" t="s">
        <v>121</v>
      </c>
    </row>
    <row r="63" spans="1:4" ht="12.75">
      <c r="A63" t="s">
        <v>122</v>
      </c>
      <c r="B63" s="4">
        <v>20</v>
      </c>
      <c r="C63" t="s">
        <v>123</v>
      </c>
      <c r="D63" t="s">
        <v>124</v>
      </c>
    </row>
    <row r="64" spans="1:4" ht="12.75">
      <c r="A64" t="s">
        <v>125</v>
      </c>
      <c r="B64" s="2">
        <f>B63*B41</f>
        <v>200</v>
      </c>
      <c r="C64" t="s">
        <v>123</v>
      </c>
      <c r="D64" t="s">
        <v>126</v>
      </c>
    </row>
    <row r="65" spans="1:2" ht="12.75">
      <c r="A65" t="s">
        <v>127</v>
      </c>
      <c r="B65" s="2">
        <f>B14/1000+B51+B53+B27+B39</f>
        <v>7.681810694045173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8">
      <selection activeCell="A19" sqref="A19"/>
    </sheetView>
  </sheetViews>
  <sheetFormatPr defaultColWidth="12.57421875" defaultRowHeight="12" customHeight="1"/>
  <cols>
    <col min="1" max="1" width="36.140625" style="0" customWidth="1"/>
    <col min="2" max="6" width="11.57421875" style="0" customWidth="1"/>
    <col min="7" max="7" width="26.7109375" style="0" customWidth="1"/>
    <col min="8" max="16384" width="11.57421875" style="0" customWidth="1"/>
  </cols>
  <sheetData>
    <row r="1" spans="2:5" ht="12" customHeight="1">
      <c r="B1" t="s">
        <v>128</v>
      </c>
      <c r="C1" t="s">
        <v>129</v>
      </c>
      <c r="D1" t="s">
        <v>130</v>
      </c>
      <c r="E1" t="s">
        <v>131</v>
      </c>
    </row>
    <row r="2" spans="1:5" ht="12" customHeight="1">
      <c r="A2" t="s">
        <v>132</v>
      </c>
      <c r="B2" s="4">
        <v>30</v>
      </c>
      <c r="C2" s="4">
        <v>30</v>
      </c>
      <c r="D2" s="4">
        <v>60</v>
      </c>
      <c r="E2" s="4">
        <v>200</v>
      </c>
    </row>
    <row r="3" spans="1:8" ht="12" customHeight="1">
      <c r="A3" t="s">
        <v>133</v>
      </c>
      <c r="B3">
        <f>$H$3*B2</f>
        <v>60</v>
      </c>
      <c r="C3">
        <f>$H$3*C2</f>
        <v>60</v>
      </c>
      <c r="D3">
        <f>$H$3*D2</f>
        <v>120</v>
      </c>
      <c r="E3">
        <f>$H$3*E2</f>
        <v>400</v>
      </c>
      <c r="G3" t="s">
        <v>134</v>
      </c>
      <c r="H3" s="4">
        <v>2</v>
      </c>
    </row>
    <row r="4" spans="1:8" ht="12" customHeight="1">
      <c r="A4" t="s">
        <v>135</v>
      </c>
      <c r="B4">
        <f>Sheet1!$B6</f>
        <v>0.5</v>
      </c>
      <c r="C4">
        <f>Sheet1!$B6</f>
        <v>0.5</v>
      </c>
      <c r="D4">
        <f>Sheet1!$B6</f>
        <v>0.5</v>
      </c>
      <c r="E4">
        <f>Sheet1!$B6</f>
        <v>0.5</v>
      </c>
      <c r="G4" t="s">
        <v>136</v>
      </c>
      <c r="H4">
        <f>24*60*60</f>
        <v>86400</v>
      </c>
    </row>
    <row r="5" spans="1:8" ht="12" customHeight="1">
      <c r="A5" t="s">
        <v>137</v>
      </c>
      <c r="B5" s="5">
        <f>B3*B4*$H$4</f>
        <v>2592000</v>
      </c>
      <c r="C5" s="5">
        <f>C3*C4*$H$4</f>
        <v>2592000</v>
      </c>
      <c r="D5" s="5">
        <f>D3*D4*$H$4</f>
        <v>5184000</v>
      </c>
      <c r="E5" s="5">
        <f>E3*E4*$H$4</f>
        <v>17280000</v>
      </c>
      <c r="G5" t="s">
        <v>138</v>
      </c>
      <c r="H5">
        <v>365.25</v>
      </c>
    </row>
    <row r="6" spans="1:8" ht="12" customHeight="1">
      <c r="A6" t="s">
        <v>139</v>
      </c>
      <c r="B6">
        <v>2000</v>
      </c>
      <c r="C6">
        <v>20000</v>
      </c>
      <c r="D6">
        <v>20000</v>
      </c>
      <c r="E6">
        <v>20000</v>
      </c>
      <c r="G6" t="s">
        <v>140</v>
      </c>
      <c r="H6">
        <v>10000</v>
      </c>
    </row>
    <row r="7" spans="1:8" ht="12" customHeight="1">
      <c r="A7" t="s">
        <v>141</v>
      </c>
      <c r="B7" s="5">
        <f>B5*B6</f>
        <v>5184000000</v>
      </c>
      <c r="C7" s="5">
        <f>C5*C6</f>
        <v>51840000000</v>
      </c>
      <c r="D7" s="5">
        <f>D5*D6</f>
        <v>103680000000</v>
      </c>
      <c r="E7" s="5">
        <f>E5*E6</f>
        <v>345600000000</v>
      </c>
      <c r="G7" t="s">
        <v>142</v>
      </c>
      <c r="H7">
        <f>Sheet1!$B32</f>
        <v>2</v>
      </c>
    </row>
    <row r="8" spans="2:8" ht="12" customHeight="1">
      <c r="B8" s="5"/>
      <c r="C8" s="5"/>
      <c r="D8" s="5"/>
      <c r="E8" s="5"/>
      <c r="G8" t="s">
        <v>143</v>
      </c>
      <c r="H8">
        <f>Sheet1!$B11</f>
        <v>15000</v>
      </c>
    </row>
    <row r="9" spans="1:8" ht="12" customHeight="1">
      <c r="A9" t="s">
        <v>144</v>
      </c>
      <c r="B9">
        <f>Sheet1!$B9</f>
        <v>0.13333333333333333</v>
      </c>
      <c r="C9">
        <f>Sheet1!$B9</f>
        <v>0.13333333333333333</v>
      </c>
      <c r="D9">
        <f>Sheet1!$B9</f>
        <v>0.13333333333333333</v>
      </c>
      <c r="E9">
        <f>Sheet1!$B9</f>
        <v>0.13333333333333333</v>
      </c>
      <c r="G9" t="s">
        <v>145</v>
      </c>
      <c r="H9">
        <f>Sheet1!$B48</f>
        <v>0.2</v>
      </c>
    </row>
    <row r="10" spans="1:8" ht="12" customHeight="1">
      <c r="A10" t="s">
        <v>146</v>
      </c>
      <c r="B10">
        <f>B7*B9/$H$4/$H$5</f>
        <v>21.90280629705681</v>
      </c>
      <c r="C10">
        <f>C7*C9/$H$4/$H$5</f>
        <v>219.0280629705681</v>
      </c>
      <c r="D10">
        <f>D7*D9/$H$4/$H$5</f>
        <v>438.0561259411362</v>
      </c>
      <c r="E10">
        <f>E7*E9/$H$4/$H$5</f>
        <v>1460.1870864704542</v>
      </c>
      <c r="G10" t="s">
        <v>147</v>
      </c>
      <c r="H10">
        <v>3</v>
      </c>
    </row>
    <row r="11" spans="1:8" ht="12" customHeight="1">
      <c r="A11" t="s">
        <v>148</v>
      </c>
      <c r="B11">
        <f>B7*B9/$H$4/$H$6</f>
        <v>0.8</v>
      </c>
      <c r="C11">
        <f>C7*C9/$H$4/$H$6</f>
        <v>8</v>
      </c>
      <c r="D11">
        <f>D7*D9/$H$4/$H$6</f>
        <v>16</v>
      </c>
      <c r="E11">
        <f>E7*E9/$H$4/$H$6</f>
        <v>53.333333333333336</v>
      </c>
      <c r="G11" t="s">
        <v>149</v>
      </c>
      <c r="H11">
        <v>0.1</v>
      </c>
    </row>
    <row r="13" spans="1:5" ht="12" customHeight="1">
      <c r="A13" t="s">
        <v>150</v>
      </c>
      <c r="B13">
        <f>Sheet1!$B28</f>
        <v>0.06666666666666667</v>
      </c>
      <c r="C13">
        <f>Sheet1!$B28</f>
        <v>0.06666666666666667</v>
      </c>
      <c r="D13">
        <f>Sheet1!$B28</f>
        <v>0.06666666666666667</v>
      </c>
      <c r="E13">
        <f>Sheet1!$B28</f>
        <v>0.06666666666666667</v>
      </c>
    </row>
    <row r="14" spans="1:5" ht="12" customHeight="1">
      <c r="A14" t="s">
        <v>151</v>
      </c>
      <c r="B14">
        <f>B9</f>
        <v>0.13333333333333333</v>
      </c>
      <c r="C14">
        <f>C9</f>
        <v>0.13333333333333333</v>
      </c>
      <c r="D14">
        <f>D9</f>
        <v>0.13333333333333333</v>
      </c>
      <c r="E14">
        <f>E9</f>
        <v>0.13333333333333333</v>
      </c>
    </row>
    <row r="15" spans="1:5" ht="12" customHeight="1">
      <c r="A15" t="s">
        <v>152</v>
      </c>
      <c r="B15">
        <f>B7*$H$7*(B14+B13)/$H$4/$H$6</f>
        <v>2.4</v>
      </c>
      <c r="C15">
        <f>C7*$H$7*(C14+C13)/$H$4/$H$6</f>
        <v>24</v>
      </c>
      <c r="D15">
        <f>D7*$H$7*(D14+D13)/$H$4/$H$6</f>
        <v>48</v>
      </c>
      <c r="E15">
        <f>E7*$H$7*(E14+E13)/$H$4/$H$6</f>
        <v>160</v>
      </c>
    </row>
    <row r="17" spans="1:5" ht="12" customHeight="1">
      <c r="A17" t="s">
        <v>153</v>
      </c>
      <c r="B17">
        <f>B11+B15</f>
        <v>3.2</v>
      </c>
      <c r="C17">
        <f>C11+C15</f>
        <v>32</v>
      </c>
      <c r="D17">
        <f>D11+D15</f>
        <v>64</v>
      </c>
      <c r="E17">
        <f>E11+E15</f>
        <v>213.33333333333334</v>
      </c>
    </row>
    <row r="19" spans="1:5" ht="12" customHeight="1">
      <c r="A19" t="s">
        <v>154</v>
      </c>
      <c r="B19">
        <f>B11*$H10*$H11</f>
        <v>0.24000000000000005</v>
      </c>
      <c r="C19">
        <f>C11*$H10*$H11</f>
        <v>2.4000000000000004</v>
      </c>
      <c r="D19">
        <f>D11*$H10*$H11</f>
        <v>4.800000000000001</v>
      </c>
      <c r="E19">
        <f>E11*$H10*$H11</f>
        <v>16</v>
      </c>
    </row>
    <row r="23" spans="1:5" ht="12" customHeight="1">
      <c r="A23" t="s">
        <v>155</v>
      </c>
      <c r="B23">
        <f>B7*$H8</f>
        <v>77760000000000</v>
      </c>
      <c r="C23">
        <f>C7*$H8</f>
        <v>777600000000000</v>
      </c>
      <c r="D23">
        <f>D7*$H8</f>
        <v>1555200000000000</v>
      </c>
      <c r="E23">
        <f>E7*$H8</f>
        <v>5184000000000000</v>
      </c>
    </row>
    <row r="24" spans="1:5" ht="12" customHeight="1">
      <c r="A24" t="s">
        <v>156</v>
      </c>
      <c r="B24">
        <f>B23/1000000000000000</f>
        <v>0.07776</v>
      </c>
      <c r="C24">
        <f>C23/1000000000000000</f>
        <v>0.7776</v>
      </c>
      <c r="D24">
        <f>D23/1000000000000000</f>
        <v>1.5552</v>
      </c>
      <c r="E24">
        <f>E23/1000000000000000</f>
        <v>5.184</v>
      </c>
    </row>
    <row r="25" spans="1:5" ht="12" customHeight="1">
      <c r="A25" t="s">
        <v>157</v>
      </c>
      <c r="B25">
        <f>B24*$H9</f>
        <v>0.015552</v>
      </c>
      <c r="C25">
        <f>C24*$H9</f>
        <v>0.15552</v>
      </c>
      <c r="D25">
        <f>D24*$H9</f>
        <v>0.31104</v>
      </c>
      <c r="E25">
        <f>E24*$H9</f>
        <v>1.0368000000000002</v>
      </c>
    </row>
    <row r="26" spans="1:5" ht="12" customHeight="1">
      <c r="A26" t="s">
        <v>158</v>
      </c>
      <c r="B26">
        <f>B24*(1+0.2*(2*1+2*2+2*0.05+5*0.1))</f>
        <v>0.1804032</v>
      </c>
      <c r="C26">
        <f>C24*(1+0.2*(2*1+2*2+2*0.05+5*0.1))</f>
        <v>1.804032</v>
      </c>
      <c r="D26">
        <f>D24*(1+0.2*(2*1+2*2+2*0.05+5*0.1))</f>
        <v>3.608064</v>
      </c>
      <c r="E26">
        <f>E24*(1+0.2*(2*1+2*2+2*0.05+5*0.1))</f>
        <v>12.026880000000002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" customHeight="1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Ito</cp:lastModifiedBy>
  <dcterms:modified xsi:type="dcterms:W3CDTF">2012-06-08T02:27:50Z</dcterms:modified>
  <cp:category/>
  <cp:version/>
  <cp:contentType/>
  <cp:contentStatus/>
  <cp:revision>39</cp:revision>
</cp:coreProperties>
</file>